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tabRatio="599" activeTab="2"/>
  </bookViews>
  <sheets>
    <sheet name="ИБР" sheetId="1" r:id="rId1"/>
    <sheet name="ИНП" sheetId="2" r:id="rId2"/>
    <sheet name="Дот" sheetId="3" r:id="rId3"/>
  </sheets>
  <externalReferences>
    <externalReference r:id="rId6"/>
    <externalReference r:id="rId7"/>
  </externalReferences>
  <definedNames>
    <definedName name="lst2">'[1]rr'!$D$5:$E$46</definedName>
    <definedName name="vb">'[1]rr'!$D$3</definedName>
    <definedName name="_xlnm.Print_Titles" localSheetId="2">'Дот'!$A:$B</definedName>
    <definedName name="_xlnm.Print_Titles" localSheetId="0">'ИБР'!$A:$B</definedName>
    <definedName name="_xlnm.Print_Titles" localSheetId="1">'ИНП'!$A:$B</definedName>
    <definedName name="_xlnm.Print_Area" localSheetId="0">'ИБР'!$A$1:$Y$10</definedName>
    <definedName name="_xlnm.Print_Area" localSheetId="1">'ИНП'!$A$1:$T$10</definedName>
  </definedNames>
  <calcPr fullCalcOnLoad="1"/>
</workbook>
</file>

<file path=xl/comments3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G12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</commentList>
</comments>
</file>

<file path=xl/sharedStrings.xml><?xml version="1.0" encoding="utf-8"?>
<sst xmlns="http://schemas.openxmlformats.org/spreadsheetml/2006/main" count="93" uniqueCount="58">
  <si>
    <t>Расчет индекса налогового потенциала</t>
  </si>
  <si>
    <t>№</t>
  </si>
  <si>
    <t>Поселения</t>
  </si>
  <si>
    <t>Числен-ность постоян-ного населения, чел</t>
  </si>
  <si>
    <t>НДФЛ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</si>
  <si>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</si>
  <si>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</si>
  <si>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</si>
  <si>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</si>
  <si>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</si>
  <si>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</si>
  <si>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</si>
  <si>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</si>
  <si>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</si>
  <si>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</si>
  <si>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</si>
  <si>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</si>
  <si>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</si>
  <si>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</si>
  <si>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Расчет индекса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</si>
  <si>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</si>
  <si>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</si>
  <si>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</si>
  <si>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</si>
  <si>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</si>
  <si>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</si>
  <si>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</si>
  <si>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</si>
  <si>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</si>
  <si>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</si>
  <si>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</si>
  <si>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</si>
  <si>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</si>
  <si>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</si>
  <si>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</si>
  <si>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</si>
  <si>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</si>
  <si>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</si>
  <si>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</si>
  <si>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</si>
  <si>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</si>
  <si>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Расчет дотации на выравнивание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</si>
  <si>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</si>
  <si>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</si>
  <si>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</si>
  <si>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</si>
  <si>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</si>
  <si>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</si>
  <si>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</si>
  <si>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</si>
  <si>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Перевесинское МО</t>
  </si>
  <si>
    <t>Рязанское МО</t>
  </si>
  <si>
    <t>Студеновское МО</t>
  </si>
  <si>
    <t>Турковское МО</t>
  </si>
  <si>
    <t>Иные межбюджетные трансферты на сбалансированность бюджетам поселений</t>
  </si>
  <si>
    <t>Прогноз налога на 2019год в консолиди-рованный бюджет области</t>
  </si>
  <si>
    <t>Прогноз налога на 2019 год, 100%</t>
  </si>
  <si>
    <t>Прогноз налога на 2019 год в доле поселений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</si>
</sst>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"/>
    <numFmt numFmtId="176" formatCode="#,##0.00_ ;[Red]\-#,##0.00\ "/>
    <numFmt numFmtId="177" formatCode="#,##0.0"/>
    <numFmt numFmtId="178" formatCode="0.0000"/>
    <numFmt numFmtId="179" formatCode="#,##0.000"/>
    <numFmt numFmtId="180" formatCode="0.000000"/>
    <numFmt numFmtId="181" formatCode="0.00000"/>
    <numFmt numFmtId="182" formatCode="#,##0.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00"/>
    <numFmt numFmtId="189" formatCode="#,##0.00000"/>
    <numFmt numFmtId="190" formatCode="0.000%"/>
    <numFmt numFmtId="191" formatCode="0.0000%"/>
    <numFmt numFmtId="192" formatCode="0.00000%"/>
    <numFmt numFmtId="193" formatCode="0.0000000"/>
    <numFmt numFmtId="194" formatCode="0.00000000"/>
    <numFmt numFmtId="195" formatCode="0.000000000"/>
    <numFmt numFmtId="196" formatCode="0.0000000000"/>
    <numFmt numFmtId="197" formatCode="##,###,###,###,###,###,###"/>
    <numFmt numFmtId="198" formatCode="0.0000E+00"/>
    <numFmt numFmtId="199" formatCode="0.00000E+00"/>
    <numFmt numFmtId="200" formatCode="0.000000E+00"/>
    <numFmt numFmtId="201" formatCode="0.0000000E+00"/>
    <numFmt numFmtId="202" formatCode="#,##0.0;[Red]#,##0.0"/>
    <numFmt numFmtId="203" formatCode="#,##0.0_);\(#,##0.0\)"/>
    <numFmt numFmtId="204" formatCode="[$-FC19]d\ mmmm\ yyyy\ &quot;г.&quot;"/>
    <numFmt numFmtId="205" formatCode="#,##0.000_ ;[Red]\-#,##0.000\ "/>
    <numFmt numFmtId="206" formatCode="#,##0.0000_ ;[Red]\-#,##0.0000\ "/>
    <numFmt numFmtId="207" formatCode="#,##0.00000_ ;[Red]\-#,##0.00000\ "/>
    <numFmt numFmtId="208" formatCode="#,##0.000000_ ;[Red]\-#,##0.000000\ "/>
    <numFmt numFmtId="209" formatCode="#,##0.0000000_ ;[Red]\-#,##0.0000000\ "/>
    <numFmt numFmtId="210" formatCode="#,##0.00000000_ ;[Red]\-#,##0.00000000\ "/>
    <numFmt numFmtId="211" formatCode="#,##0.000000000_ ;[Red]\-#,##0.000000000\ "/>
    <numFmt numFmtId="212" formatCode="#,##0.0000000000_ ;[Red]\-#,##0.0000000000\ "/>
    <numFmt numFmtId="213" formatCode="0.00000000000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56">
      <alignment/>
      <protection/>
    </xf>
    <xf numFmtId="0" fontId="6" fillId="0" borderId="0" xfId="54" applyFont="1" applyAlignment="1">
      <alignment wrapText="1"/>
      <protection/>
    </xf>
    <xf numFmtId="0" fontId="3" fillId="0" borderId="10" xfId="55" applyFill="1" applyBorder="1" applyAlignment="1">
      <alignment horizontal="center" vertical="top" wrapText="1"/>
      <protection/>
    </xf>
    <xf numFmtId="0" fontId="3" fillId="33" borderId="10" xfId="56" applyFill="1" applyBorder="1">
      <alignment/>
      <protection/>
    </xf>
    <xf numFmtId="0" fontId="3" fillId="33" borderId="0" xfId="56" applyFill="1">
      <alignment/>
      <protection/>
    </xf>
    <xf numFmtId="0" fontId="5" fillId="0" borderId="10" xfId="0" applyFont="1" applyFill="1" applyBorder="1" applyAlignment="1">
      <alignment/>
    </xf>
    <xf numFmtId="0" fontId="5" fillId="0" borderId="10" xfId="33" applyFont="1" applyFill="1" applyBorder="1">
      <alignment/>
      <protection/>
    </xf>
    <xf numFmtId="3" fontId="5" fillId="34" borderId="10" xfId="54" applyNumberFormat="1" applyFont="1" applyFill="1" applyBorder="1">
      <alignment/>
      <protection/>
    </xf>
    <xf numFmtId="177" fontId="5" fillId="34" borderId="10" xfId="33" applyNumberFormat="1" applyFont="1" applyFill="1" applyBorder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177" fontId="5" fillId="0" borderId="10" xfId="33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/>
    </xf>
    <xf numFmtId="0" fontId="8" fillId="0" borderId="11" xfId="56" applyFont="1" applyBorder="1" applyAlignment="1">
      <alignment horizontal="center" vertical="center" wrapText="1"/>
      <protection/>
    </xf>
    <xf numFmtId="0" fontId="3" fillId="34" borderId="10" xfId="56" applyFill="1" applyBorder="1">
      <alignment/>
      <protection/>
    </xf>
    <xf numFmtId="177" fontId="5" fillId="0" borderId="10" xfId="54" applyNumberFormat="1" applyFont="1" applyFill="1" applyBorder="1">
      <alignment/>
      <protection/>
    </xf>
    <xf numFmtId="0" fontId="3" fillId="0" borderId="0" xfId="56" applyAlignment="1">
      <alignment horizontal="right"/>
      <protection/>
    </xf>
    <xf numFmtId="0" fontId="5" fillId="0" borderId="0" xfId="54" applyFont="1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36" borderId="10" xfId="56" applyFont="1" applyFill="1" applyBorder="1" applyAlignment="1">
      <alignment horizontal="center" vertical="center" wrapText="1"/>
      <protection/>
    </xf>
    <xf numFmtId="0" fontId="3" fillId="36" borderId="10" xfId="56" applyFill="1" applyBorder="1">
      <alignment/>
      <protection/>
    </xf>
    <xf numFmtId="10" fontId="3" fillId="34" borderId="10" xfId="61" applyNumberFormat="1" applyFont="1" applyFill="1" applyBorder="1" applyAlignment="1">
      <alignment/>
    </xf>
    <xf numFmtId="4" fontId="5" fillId="34" borderId="10" xfId="54" applyNumberFormat="1" applyFont="1" applyFill="1" applyBorder="1">
      <alignment/>
      <protection/>
    </xf>
    <xf numFmtId="3" fontId="5" fillId="36" borderId="10" xfId="54" applyNumberFormat="1" applyFont="1" applyFill="1" applyBorder="1">
      <alignment/>
      <protection/>
    </xf>
    <xf numFmtId="189" fontId="5" fillId="36" borderId="10" xfId="54" applyNumberFormat="1" applyFont="1" applyFill="1" applyBorder="1">
      <alignment/>
      <protection/>
    </xf>
    <xf numFmtId="179" fontId="5" fillId="0" borderId="10" xfId="54" applyNumberFormat="1" applyFont="1" applyFill="1" applyBorder="1">
      <alignment/>
      <protection/>
    </xf>
    <xf numFmtId="179" fontId="7" fillId="0" borderId="10" xfId="54" applyNumberFormat="1" applyFont="1" applyFill="1" applyBorder="1">
      <alignment/>
      <protection/>
    </xf>
    <xf numFmtId="3" fontId="8" fillId="0" borderId="10" xfId="56" applyNumberFormat="1" applyFont="1" applyFill="1" applyBorder="1">
      <alignment/>
      <protection/>
    </xf>
    <xf numFmtId="3" fontId="8" fillId="36" borderId="10" xfId="56" applyNumberFormat="1" applyFont="1" applyFill="1" applyBorder="1">
      <alignment/>
      <protection/>
    </xf>
    <xf numFmtId="4" fontId="8" fillId="36" borderId="10" xfId="56" applyNumberFormat="1" applyFont="1" applyFill="1" applyBorder="1">
      <alignment/>
      <protection/>
    </xf>
    <xf numFmtId="177" fontId="7" fillId="0" borderId="10" xfId="54" applyNumberFormat="1" applyFont="1" applyFill="1" applyBorder="1">
      <alignment/>
      <protection/>
    </xf>
    <xf numFmtId="177" fontId="7" fillId="0" borderId="0" xfId="54" applyNumberFormat="1" applyFont="1" applyFill="1" applyBorder="1">
      <alignment/>
      <protection/>
    </xf>
    <xf numFmtId="177" fontId="5" fillId="0" borderId="0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179" fontId="5" fillId="0" borderId="10" xfId="33" applyNumberFormat="1" applyFont="1" applyFill="1" applyBorder="1">
      <alignment/>
      <protection/>
    </xf>
    <xf numFmtId="179" fontId="6" fillId="0" borderId="10" xfId="54" applyNumberFormat="1" applyFont="1" applyFill="1" applyBorder="1">
      <alignment/>
      <protection/>
    </xf>
    <xf numFmtId="179" fontId="6" fillId="0" borderId="10" xfId="33" applyNumberFormat="1" applyFont="1" applyFill="1" applyBorder="1">
      <alignment/>
      <protection/>
    </xf>
    <xf numFmtId="177" fontId="6" fillId="0" borderId="10" xfId="54" applyNumberFormat="1" applyFont="1" applyFill="1" applyBorder="1">
      <alignment/>
      <protection/>
    </xf>
    <xf numFmtId="177" fontId="3" fillId="0" borderId="10" xfId="56" applyNumberFormat="1" applyBorder="1">
      <alignment/>
      <protection/>
    </xf>
    <xf numFmtId="177" fontId="3" fillId="34" borderId="10" xfId="56" applyNumberFormat="1" applyFill="1" applyBorder="1">
      <alignment/>
      <protection/>
    </xf>
    <xf numFmtId="177" fontId="6" fillId="0" borderId="10" xfId="33" applyNumberFormat="1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0" fontId="11" fillId="0" borderId="0" xfId="56" applyFont="1">
      <alignment/>
      <protection/>
    </xf>
    <xf numFmtId="177" fontId="7" fillId="0" borderId="10" xfId="33" applyNumberFormat="1" applyFont="1" applyFill="1" applyBorder="1">
      <alignment/>
      <protection/>
    </xf>
    <xf numFmtId="0" fontId="6" fillId="0" borderId="0" xfId="54" applyFont="1" applyAlignment="1">
      <alignment horizont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5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Местные бюджеты 2006 - расчет МБТ(2 чтение)" xfId="54"/>
    <cellStyle name="Обычный_налоговый потенциал_2009_2011" xfId="55"/>
    <cellStyle name="Обычный_Поселения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k%20c\P\&#1053;&#1072;&#1083;&#1086;&#1075;&#1086;&#1074;&#1099;&#1081;%20&#1087;&#1086;&#1090;&#1077;&#1085;&#1094;&#1080;&#1072;&#1083;%202005\sv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1">
        <row r="3">
          <cell r="C3" t="str">
            <v>Числен-ность постоян-ного населения, чел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6" sqref="X6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20</v>
      </c>
    </row>
    <row r="3" spans="1:25" ht="30.75" customHeight="1">
      <c r="A3" s="56" t="s">
        <v>1</v>
      </c>
      <c r="B3" s="56" t="s">
        <v>2</v>
      </c>
      <c r="C3" s="49" t="str">
        <f>'[2]МР_П'!C3</f>
        <v>Числен-ность постоян-ного населения, чел</v>
      </c>
      <c r="D3" s="20" t="s">
        <v>21</v>
      </c>
      <c r="E3" s="49" t="s">
        <v>22</v>
      </c>
      <c r="F3" s="48" t="s">
        <v>23</v>
      </c>
      <c r="G3" s="48"/>
      <c r="H3" s="21"/>
      <c r="I3" s="21"/>
      <c r="J3" s="21"/>
      <c r="K3" s="48" t="s">
        <v>24</v>
      </c>
      <c r="L3" s="48"/>
      <c r="M3" s="48"/>
      <c r="N3" s="48"/>
      <c r="O3" s="51" t="s">
        <v>25</v>
      </c>
      <c r="P3" s="52"/>
      <c r="Q3" s="52"/>
      <c r="R3" s="52"/>
      <c r="S3" s="53"/>
      <c r="T3" s="51" t="s">
        <v>26</v>
      </c>
      <c r="U3" s="52"/>
      <c r="V3" s="52"/>
      <c r="W3" s="52"/>
      <c r="X3" s="53"/>
      <c r="Y3" s="54" t="s">
        <v>13</v>
      </c>
    </row>
    <row r="4" spans="1:25" ht="56.25">
      <c r="A4" s="57"/>
      <c r="B4" s="57"/>
      <c r="C4" s="50"/>
      <c r="D4" s="20" t="s">
        <v>27</v>
      </c>
      <c r="E4" s="50"/>
      <c r="F4" s="20" t="s">
        <v>28</v>
      </c>
      <c r="G4" s="20" t="s">
        <v>29</v>
      </c>
      <c r="H4" s="22" t="s">
        <v>30</v>
      </c>
      <c r="I4" s="22" t="s">
        <v>31</v>
      </c>
      <c r="J4" s="22"/>
      <c r="K4" s="20" t="s">
        <v>32</v>
      </c>
      <c r="L4" s="20" t="s">
        <v>33</v>
      </c>
      <c r="M4" s="20" t="s">
        <v>34</v>
      </c>
      <c r="N4" s="20" t="s">
        <v>35</v>
      </c>
      <c r="O4" s="15" t="s">
        <v>36</v>
      </c>
      <c r="P4" s="15" t="s">
        <v>37</v>
      </c>
      <c r="Q4" s="15" t="s">
        <v>38</v>
      </c>
      <c r="R4" s="15" t="s">
        <v>39</v>
      </c>
      <c r="S4" s="15" t="s">
        <v>40</v>
      </c>
      <c r="T4" s="15" t="s">
        <v>36</v>
      </c>
      <c r="U4" s="15" t="s">
        <v>37</v>
      </c>
      <c r="V4" s="15" t="s">
        <v>38</v>
      </c>
      <c r="W4" s="15" t="s">
        <v>39</v>
      </c>
      <c r="X4" s="15" t="s">
        <v>40</v>
      </c>
      <c r="Y4" s="55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0.4257</v>
      </c>
      <c r="U5" s="24">
        <v>0.2195</v>
      </c>
      <c r="V5" s="24">
        <v>0</v>
      </c>
      <c r="W5" s="24">
        <v>0.0347</v>
      </c>
      <c r="X5" s="24">
        <v>0.3201</v>
      </c>
      <c r="Y5" s="4"/>
    </row>
    <row r="6" spans="1:25" ht="11.25">
      <c r="A6" s="6">
        <v>3</v>
      </c>
      <c r="B6" s="7" t="s">
        <v>50</v>
      </c>
      <c r="C6" s="8">
        <v>667</v>
      </c>
      <c r="D6" s="8"/>
      <c r="E6" s="8">
        <v>327</v>
      </c>
      <c r="F6" s="25">
        <v>1</v>
      </c>
      <c r="G6" s="25">
        <v>1</v>
      </c>
      <c r="H6" s="26">
        <v>16300</v>
      </c>
      <c r="I6" s="26">
        <f>F6*H6</f>
        <v>16300</v>
      </c>
      <c r="J6" s="27">
        <f>ИБР!G6*ИБР!H6/ИБР!$H$10</f>
        <v>0.28586711563587897</v>
      </c>
      <c r="K6" s="28">
        <f>IF(C6&lt;&gt;0,0.6+0.4*($C$10/COUNT($A$6:$A$9))/C6,0)</f>
        <v>2.2251874062968517</v>
      </c>
      <c r="L6" s="28">
        <f>IF(C6&lt;&gt;0,1+E6/C6,0)</f>
        <v>1.4902548725637181</v>
      </c>
      <c r="M6" s="28">
        <f>IF(C6&lt;&gt;0,1+D6/C6,0)</f>
        <v>1</v>
      </c>
      <c r="N6" s="28">
        <f>IF($G$10&lt;&gt;0,0.9+0.1*(0.8*F6/$F$10+0.2*G6/$G$10),0)</f>
        <v>1</v>
      </c>
      <c r="O6" s="17">
        <f>C6*K6</f>
        <v>1484.2</v>
      </c>
      <c r="P6" s="17">
        <f>C6*L6*M6</f>
        <v>994</v>
      </c>
      <c r="Q6" s="17">
        <f>C6*M6</f>
        <v>667</v>
      </c>
      <c r="R6" s="17">
        <f>C6*K6*N6</f>
        <v>1484.2</v>
      </c>
      <c r="S6" s="17">
        <f>C6*L6*M6</f>
        <v>994</v>
      </c>
      <c r="T6" s="28">
        <f>IF(C6&lt;&gt;0,(O6/$C6)/(O$10/$C$10),0)</f>
        <v>2.2251874062968517</v>
      </c>
      <c r="U6" s="28">
        <f>IF(C6&lt;&gt;0,(P6/$C6)/(P$10/$C$10),0)</f>
        <v>0.7033582919554207</v>
      </c>
      <c r="V6" s="28">
        <f>IF(C6&lt;&gt;0,(Q6/$C6)/(Q$10/$C$10),0)</f>
        <v>0.6574079689489963</v>
      </c>
      <c r="W6" s="28">
        <f>IF(C6&lt;&gt;0,(R6/$C6)/(R$10/$C$10),0)</f>
        <v>2.2251874062968517</v>
      </c>
      <c r="X6" s="28">
        <f>IF(C6&lt;&gt;0,(S6/$C6)/(S$10/$C$10),0)</f>
        <v>0.7033582919554207</v>
      </c>
      <c r="Y6" s="29">
        <f>IF(SUM($T$5:$X$5)=1,T6*$T$5+U6*$U$5+V6*$V$5+W6*$W$5+X6*$X$5,0)</f>
        <v>1.4040084161982156</v>
      </c>
    </row>
    <row r="7" spans="1:25" ht="11.25">
      <c r="A7" s="6">
        <v>4</v>
      </c>
      <c r="B7" s="7" t="s">
        <v>51</v>
      </c>
      <c r="C7" s="8">
        <v>2753</v>
      </c>
      <c r="D7" s="8"/>
      <c r="E7" s="8">
        <v>2293</v>
      </c>
      <c r="F7" s="25">
        <v>1</v>
      </c>
      <c r="G7" s="25">
        <v>1</v>
      </c>
      <c r="H7" s="26">
        <v>14080.7</v>
      </c>
      <c r="I7" s="26">
        <f>F7*H7</f>
        <v>14080.7</v>
      </c>
      <c r="J7" s="27">
        <f>ИБР!G7*ИБР!H7/ИБР!$H$10</f>
        <v>0.24694534325976203</v>
      </c>
      <c r="K7" s="28">
        <f>IF(C7&lt;&gt;0,0.6+0.4*($C$10/COUNT($A$6:$A$9))/C7,0)</f>
        <v>0.9937522702506356</v>
      </c>
      <c r="L7" s="28">
        <f>IF(C7&lt;&gt;0,1+E7/C7,0)</f>
        <v>1.8329095532146749</v>
      </c>
      <c r="M7" s="28">
        <f>IF(C7&lt;&gt;0,1+D7/C7,0)</f>
        <v>1</v>
      </c>
      <c r="N7" s="28">
        <f>IF($G$10&lt;&gt;0,0.9+0.1*(0.8*F7/$F$10+0.2*G7/$G$10),0)</f>
        <v>1</v>
      </c>
      <c r="O7" s="17">
        <f>C7*K7</f>
        <v>2735.7999999999997</v>
      </c>
      <c r="P7" s="17">
        <f>C7*L7*M7</f>
        <v>5046</v>
      </c>
      <c r="Q7" s="17">
        <f>C7*M7</f>
        <v>2753</v>
      </c>
      <c r="R7" s="17">
        <f>C7*K7*N7</f>
        <v>2735.7999999999997</v>
      </c>
      <c r="S7" s="17">
        <f>C7*L7*M7</f>
        <v>5046</v>
      </c>
      <c r="T7" s="28">
        <f>IF(C7&lt;&gt;0,(O7/$C7)/(O$10/$C$10),0)</f>
        <v>0.9937522702506356</v>
      </c>
      <c r="U7" s="28">
        <f>IF(C7&lt;&gt;0,(P7/$C7)/(P$10/$C$10),0)</f>
        <v>0.8650816423368047</v>
      </c>
      <c r="V7" s="28">
        <f>IF(C7&lt;&gt;0,(Q7/$C7)/(Q$10/$C$10),0)</f>
        <v>0.6574079689489963</v>
      </c>
      <c r="W7" s="28">
        <f>IF(C7&lt;&gt;0,(R7/$C7)/(R$10/$C$10),0)</f>
        <v>0.9937522702506356</v>
      </c>
      <c r="X7" s="28">
        <f>IF(C7&lt;&gt;0,(S7/$C7)/(S$10/$C$10),0)</f>
        <v>0.8650816423368047</v>
      </c>
      <c r="Y7" s="29">
        <f>IF(SUM($T$5:$X$5)=1,T7*$T$5+U7*$U$5+V7*$V$5+W7*$W$5+X7*$X$5,0)</f>
        <v>0.9243215994283325</v>
      </c>
    </row>
    <row r="8" spans="1:25" ht="11.25">
      <c r="A8" s="6">
        <v>5</v>
      </c>
      <c r="B8" s="7" t="s">
        <v>52</v>
      </c>
      <c r="C8" s="8">
        <v>1771</v>
      </c>
      <c r="D8" s="8"/>
      <c r="E8" s="8">
        <v>1629</v>
      </c>
      <c r="F8" s="25">
        <v>1</v>
      </c>
      <c r="G8" s="25">
        <v>1</v>
      </c>
      <c r="H8" s="26">
        <v>20636.3</v>
      </c>
      <c r="I8" s="26">
        <f>F8*H8</f>
        <v>20636.3</v>
      </c>
      <c r="J8" s="27">
        <f>ИБР!G8*ИБР!H8/ИБР!$H$10</f>
        <v>0.3619165373249502</v>
      </c>
      <c r="K8" s="28">
        <f>IF(C8&lt;&gt;0,0.6+0.4*($C$10/COUNT($A$6:$A$9))/C8,0)</f>
        <v>1.2120835686053077</v>
      </c>
      <c r="L8" s="28">
        <f>IF(C8&lt;&gt;0,1+E8/C8,0)</f>
        <v>1.919819311123659</v>
      </c>
      <c r="M8" s="28">
        <f>IF(C8&lt;&gt;0,1+D8/C8,0)</f>
        <v>1</v>
      </c>
      <c r="N8" s="28">
        <f>IF($G$10&lt;&gt;0,0.9+0.1*(0.8*F8/$F$10+0.2*G8/$G$10),0)</f>
        <v>1</v>
      </c>
      <c r="O8" s="17">
        <f>C8*K8</f>
        <v>2146.6</v>
      </c>
      <c r="P8" s="17">
        <f>C8*L8*M8</f>
        <v>3400</v>
      </c>
      <c r="Q8" s="17">
        <f>C8*M8</f>
        <v>1771</v>
      </c>
      <c r="R8" s="17">
        <f>C8*K8*N8</f>
        <v>2146.6</v>
      </c>
      <c r="S8" s="17">
        <f>C8*L8*M8</f>
        <v>3400</v>
      </c>
      <c r="T8" s="28">
        <f>IF(C8&lt;&gt;0,(O8/$C8)/(O$10/$C$10),0)</f>
        <v>1.2120835686053077</v>
      </c>
      <c r="U8" s="28">
        <f>IF(C8&lt;&gt;0,(P8/$C8)/(P$10/$C$10),0)</f>
        <v>0.9061005982231635</v>
      </c>
      <c r="V8" s="28">
        <f>IF(C8&lt;&gt;0,(Q8/$C8)/(Q$10/$C$10),0)</f>
        <v>0.6574079689489963</v>
      </c>
      <c r="W8" s="28">
        <f>IF(C8&lt;&gt;0,(R8/$C8)/(R$10/$C$10),0)</f>
        <v>1.2120835686053077</v>
      </c>
      <c r="X8" s="28">
        <f>IF(C8&lt;&gt;0,(S8/$C8)/(S$10/$C$10),0)</f>
        <v>0.9061005982231635</v>
      </c>
      <c r="Y8" s="29">
        <f>IF(SUM($T$5:$X$5)=1,T8*$T$5+U8*$U$5+V8*$V$5+W8*$W$5+X8*$X$5,0)</f>
        <v>1.0469751577871027</v>
      </c>
    </row>
    <row r="9" spans="1:25" ht="11.25">
      <c r="A9" s="6">
        <v>7</v>
      </c>
      <c r="B9" s="7" t="s">
        <v>53</v>
      </c>
      <c r="C9" s="8">
        <v>5649</v>
      </c>
      <c r="D9" s="8">
        <v>5649</v>
      </c>
      <c r="E9" s="8">
        <v>10</v>
      </c>
      <c r="F9" s="25">
        <v>1</v>
      </c>
      <c r="G9" s="25">
        <v>1</v>
      </c>
      <c r="H9" s="26">
        <v>6002.5</v>
      </c>
      <c r="I9" s="26">
        <f>F9*H9</f>
        <v>6002.5</v>
      </c>
      <c r="J9" s="27">
        <f>ИБР!G9*ИБР!H9/ИБР!$H$10</f>
        <v>0.1052710037794088</v>
      </c>
      <c r="K9" s="28">
        <f>IF(C9&lt;&gt;0,0.6+0.4*($C$10/COUNT($A$6:$A$9))/C9,0)</f>
        <v>0.791892370331032</v>
      </c>
      <c r="L9" s="28">
        <f>IF(C9&lt;&gt;0,1+E9/C9,0)</f>
        <v>1.001770224818552</v>
      </c>
      <c r="M9" s="28">
        <f>IF(C9&lt;&gt;0,1+D9/C9,0)</f>
        <v>2</v>
      </c>
      <c r="N9" s="28">
        <f>IF($G$10&lt;&gt;0,0.9+0.1*(0.8*F9/$F$10+0.2*G9/$G$10),0)</f>
        <v>1</v>
      </c>
      <c r="O9" s="17">
        <f>C9*K9</f>
        <v>4473.4</v>
      </c>
      <c r="P9" s="17">
        <f>C9*L9*M9</f>
        <v>11318.000000000002</v>
      </c>
      <c r="Q9" s="17">
        <f>C9*M9</f>
        <v>11298</v>
      </c>
      <c r="R9" s="17">
        <f>C9*K9*N9</f>
        <v>4473.4</v>
      </c>
      <c r="S9" s="17">
        <f>C9*L9*M9</f>
        <v>11318.000000000002</v>
      </c>
      <c r="T9" s="28">
        <f>IF(C9&lt;&gt;0,(O9/$C9)/(O$10/$C$10),0)</f>
        <v>0.791892370331032</v>
      </c>
      <c r="U9" s="28">
        <f>IF(C9&lt;&gt;0,(P9/$C9)/(P$10/$C$10),0)</f>
        <v>0.9456146156368942</v>
      </c>
      <c r="V9" s="28">
        <f>IF(C9&lt;&gt;0,(Q9/$C9)/(Q$10/$C$10),0)</f>
        <v>1.3148159378979927</v>
      </c>
      <c r="W9" s="28">
        <f>IF(C9&lt;&gt;0,(R9/$C9)/(R$10/$C$10),0)</f>
        <v>0.791892370331032</v>
      </c>
      <c r="X9" s="28">
        <f>IF(C9&lt;&gt;0,(S9/$C9)/(S$10/$C$10),0)</f>
        <v>0.9456146156368942</v>
      </c>
      <c r="Y9" s="29">
        <f>IF(SUM($T$5:$X$5)=1,T9*$T$5+U9*$U$5+V9*$V$5+W9*$W$5+X9*$X$5,0)</f>
        <v>0.8748408938980753</v>
      </c>
    </row>
    <row r="10" spans="1:25" ht="12.75">
      <c r="A10" s="12"/>
      <c r="B10" s="13" t="s">
        <v>11</v>
      </c>
      <c r="C10" s="30">
        <f>SUM(C6:C9)</f>
        <v>10840</v>
      </c>
      <c r="D10" s="30">
        <f>SUM(D6:D9)</f>
        <v>5649</v>
      </c>
      <c r="E10" s="30">
        <f>SUM(E6:E9)</f>
        <v>4259</v>
      </c>
      <c r="F10" s="25">
        <v>1</v>
      </c>
      <c r="G10" s="25">
        <v>1</v>
      </c>
      <c r="H10" s="31">
        <f>SUM(H6:H9)</f>
        <v>57019.5</v>
      </c>
      <c r="I10" s="31">
        <f>SUM(I6:I9)</f>
        <v>57019.5</v>
      </c>
      <c r="J10" s="32">
        <f>SUM(J6:J9)</f>
        <v>1</v>
      </c>
      <c r="K10" s="29">
        <f>IF(C10&lt;&gt;0,0.6+0.4*($C$10/COUNT($A$6:$A$9))/(C10/COUNT($A$6:$A$9)),0)</f>
        <v>1</v>
      </c>
      <c r="L10" s="29">
        <f>IF(C10&lt;&gt;0,1+E10/C10,0)</f>
        <v>1.3928966789667896</v>
      </c>
      <c r="M10" s="29">
        <f>IF(C10&lt;&gt;0,1+D10/C10,0)</f>
        <v>1.5211254612546126</v>
      </c>
      <c r="N10" s="29">
        <f>IF($G$10&lt;&gt;0,0.9+0.1*(0.8*F10/$F$10+0.2*G10/$G$10),0)</f>
        <v>1</v>
      </c>
      <c r="O10" s="33">
        <f>C10*K10</f>
        <v>10840</v>
      </c>
      <c r="P10" s="33">
        <f>C10*L10*M10</f>
        <v>22967.473339483397</v>
      </c>
      <c r="Q10" s="33">
        <f>C10*M10</f>
        <v>16489</v>
      </c>
      <c r="R10" s="33">
        <f>C10*K10*N10</f>
        <v>10840</v>
      </c>
      <c r="S10" s="33">
        <f>C10*L10*M10</f>
        <v>22967.473339483397</v>
      </c>
      <c r="T10" s="29">
        <f>IF(C10&lt;&gt;0,(O10/$C10)/(O$10/$C$10),0)</f>
        <v>1</v>
      </c>
      <c r="U10" s="29">
        <f>IF(C10&lt;&gt;0,(P10/$C10)/(P$10/$C$10),0)</f>
        <v>1</v>
      </c>
      <c r="V10" s="29">
        <f>IF(C10&lt;&gt;0,(Q10/$C10)/(Q$10/$C$10),0)</f>
        <v>1</v>
      </c>
      <c r="W10" s="29">
        <f>IF(C10&lt;&gt;0,(R10/$C10)/(R$10/$C$10),0)</f>
        <v>1</v>
      </c>
      <c r="X10" s="29">
        <f>IF(C10&lt;&gt;0,(S10/$C10)/(S$10/$C$10),0)</f>
        <v>1</v>
      </c>
      <c r="Y10" s="29">
        <f>IF(SUM($T$5:$X$5)=1,T10*$T$5+U10*$U$5+V10*$V$5+W10*$W$5+X10*$X$5,0)</f>
        <v>1</v>
      </c>
    </row>
    <row r="11" spans="3:25" ht="11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3:25" ht="11.2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3:25" ht="11.2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</sheetData>
  <sheetProtection/>
  <mergeCells count="10">
    <mergeCell ref="A3:A4"/>
    <mergeCell ref="C3:C4"/>
    <mergeCell ref="B3:B4"/>
    <mergeCell ref="B1:N1"/>
    <mergeCell ref="F3:G3"/>
    <mergeCell ref="E3:E4"/>
    <mergeCell ref="O3:S3"/>
    <mergeCell ref="T3:X3"/>
    <mergeCell ref="Y3:Y4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0" width="12.00390625" style="1" customWidth="1"/>
    <col min="21" max="16384" width="8.00390625" style="1" customWidth="1"/>
  </cols>
  <sheetData>
    <row r="1" spans="3:20" ht="27" customHeight="1">
      <c r="C1" s="47" t="s">
        <v>0</v>
      </c>
      <c r="D1" s="47"/>
      <c r="E1" s="47"/>
      <c r="F1" s="47"/>
      <c r="G1" s="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0.75" customHeight="1">
      <c r="A3" s="60" t="s">
        <v>1</v>
      </c>
      <c r="B3" s="60" t="s">
        <v>2</v>
      </c>
      <c r="C3" s="59" t="s">
        <v>3</v>
      </c>
      <c r="D3" s="60" t="s">
        <v>4</v>
      </c>
      <c r="E3" s="60"/>
      <c r="F3" s="60"/>
      <c r="G3" s="60"/>
      <c r="H3" s="60" t="s">
        <v>5</v>
      </c>
      <c r="I3" s="60"/>
      <c r="J3" s="60"/>
      <c r="K3" s="60"/>
      <c r="L3" s="60" t="s">
        <v>6</v>
      </c>
      <c r="M3" s="60"/>
      <c r="N3" s="60"/>
      <c r="O3" s="60"/>
      <c r="P3" s="58" t="s">
        <v>7</v>
      </c>
      <c r="Q3" s="58" t="s">
        <v>46</v>
      </c>
      <c r="R3" s="58" t="s">
        <v>47</v>
      </c>
      <c r="S3" s="58" t="s">
        <v>48</v>
      </c>
      <c r="T3" s="58" t="s">
        <v>49</v>
      </c>
    </row>
    <row r="4" spans="1:20" ht="90" customHeight="1">
      <c r="A4" s="60"/>
      <c r="B4" s="60"/>
      <c r="C4" s="59"/>
      <c r="D4" s="3" t="s">
        <v>8</v>
      </c>
      <c r="E4" s="3" t="s">
        <v>55</v>
      </c>
      <c r="F4" s="3" t="s">
        <v>9</v>
      </c>
      <c r="G4" s="3" t="str">
        <f>"Налоговый потенциал по репрезента-тивной налоговой ставке  "&amp;FIXED(F10,6)&amp;", контингент"</f>
        <v>Налоговый потенциал по репрезента-тивной налоговой ставке  0,191822, контингент</v>
      </c>
      <c r="H4" s="3" t="s">
        <v>12</v>
      </c>
      <c r="I4" s="3" t="s">
        <v>56</v>
      </c>
      <c r="J4" s="3" t="s">
        <v>9</v>
      </c>
      <c r="K4" s="3" t="str">
        <f>"Налоговый потенциал по репрезента-тивной налоговой ставке  "&amp;FIXED(J10,6)&amp;",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3" t="s">
        <v>57</v>
      </c>
      <c r="N4" s="3" t="s">
        <v>9</v>
      </c>
      <c r="O4" s="3" t="str">
        <f>"Налоговый потенциал по репрезента-тивной налоговой ставке  "&amp;FIXED(N10,6)&amp;", контингент"</f>
        <v>Налоговый потенциал по репрезента-тивной налоговой ставке  0,060000, контингент</v>
      </c>
      <c r="P4" s="58"/>
      <c r="Q4" s="58"/>
      <c r="R4" s="58"/>
      <c r="S4" s="58"/>
      <c r="T4" s="58"/>
    </row>
    <row r="5" spans="1:20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1.25">
      <c r="A6" s="6">
        <v>3</v>
      </c>
      <c r="B6" s="7" t="s">
        <v>50</v>
      </c>
      <c r="C6" s="36">
        <v>667</v>
      </c>
      <c r="D6" s="9">
        <v>8629</v>
      </c>
      <c r="E6" s="9">
        <v>1655.2</v>
      </c>
      <c r="F6" s="10" t="s">
        <v>10</v>
      </c>
      <c r="G6" s="11">
        <f>D6*$F$10*0.03</f>
        <v>49.65688680489073</v>
      </c>
      <c r="H6" s="9">
        <v>454666.7</v>
      </c>
      <c r="I6" s="9">
        <v>1364</v>
      </c>
      <c r="J6" s="10" t="s">
        <v>10</v>
      </c>
      <c r="K6" s="11">
        <f>H6*$J$10</f>
        <v>1364.0000776841578</v>
      </c>
      <c r="L6" s="9">
        <v>1203.3</v>
      </c>
      <c r="M6" s="9">
        <v>72.2</v>
      </c>
      <c r="N6" s="10" t="s">
        <v>10</v>
      </c>
      <c r="O6" s="11">
        <f>L6*$N$10*0.4</f>
        <v>28.879208414442594</v>
      </c>
      <c r="P6" s="11">
        <f>O6+K6+G6</f>
        <v>1442.5361729034912</v>
      </c>
      <c r="Q6" s="9">
        <v>32.7</v>
      </c>
      <c r="R6" s="11">
        <f>P6+Q6</f>
        <v>1475.2361729034913</v>
      </c>
      <c r="S6" s="11">
        <f>IF(C6&lt;&gt;0,R6/C6,0)</f>
        <v>2.2117483851626556</v>
      </c>
      <c r="T6" s="37">
        <f>IF($S$10&lt;&gt;0,S6/$S$10,0)</f>
        <v>1.1195533827864617</v>
      </c>
    </row>
    <row r="7" spans="1:20" ht="11.25">
      <c r="A7" s="6">
        <v>4</v>
      </c>
      <c r="B7" s="7" t="s">
        <v>51</v>
      </c>
      <c r="C7" s="36">
        <v>2753</v>
      </c>
      <c r="D7" s="9">
        <v>61563</v>
      </c>
      <c r="E7" s="9">
        <v>11809.9</v>
      </c>
      <c r="F7" s="10" t="s">
        <v>10</v>
      </c>
      <c r="G7" s="11">
        <f>D7*$F$10*0.03</f>
        <v>354.27360324133593</v>
      </c>
      <c r="H7" s="9">
        <v>1350000</v>
      </c>
      <c r="I7" s="9">
        <v>4050</v>
      </c>
      <c r="J7" s="10" t="s">
        <v>10</v>
      </c>
      <c r="K7" s="11">
        <f>H7*$J$10</f>
        <v>4049.9999337396225</v>
      </c>
      <c r="L7" s="9">
        <v>58665</v>
      </c>
      <c r="M7" s="9">
        <v>3519.9</v>
      </c>
      <c r="N7" s="10" t="s">
        <v>10</v>
      </c>
      <c r="O7" s="11">
        <f>L7*$N$10*0.4</f>
        <v>1407.9604102329217</v>
      </c>
      <c r="P7" s="11">
        <f>O7+K7+G7</f>
        <v>5812.23394721388</v>
      </c>
      <c r="Q7" s="9">
        <v>134.1</v>
      </c>
      <c r="R7" s="11">
        <f>P7+Q7</f>
        <v>5946.3339472138805</v>
      </c>
      <c r="S7" s="11">
        <f>IF(C7&lt;&gt;0,R7/C7,0)</f>
        <v>2.1599469477711155</v>
      </c>
      <c r="T7" s="37">
        <f>IF($S$10&lt;&gt;0,S7/$S$10,0)</f>
        <v>1.0933322832916226</v>
      </c>
    </row>
    <row r="8" spans="1:20" ht="11.25">
      <c r="A8" s="6">
        <v>5</v>
      </c>
      <c r="B8" s="7" t="s">
        <v>52</v>
      </c>
      <c r="C8" s="36">
        <v>1771</v>
      </c>
      <c r="D8" s="9">
        <v>24006</v>
      </c>
      <c r="E8" s="9">
        <v>4604</v>
      </c>
      <c r="F8" s="10" t="s">
        <v>10</v>
      </c>
      <c r="G8" s="11">
        <f>D8*$F$10*0.03</f>
        <v>138.14616115867503</v>
      </c>
      <c r="H8" s="9">
        <v>1066666.7</v>
      </c>
      <c r="I8" s="9">
        <v>3200</v>
      </c>
      <c r="J8" s="10" t="s">
        <v>10</v>
      </c>
      <c r="K8" s="11">
        <f>H8*$J$10</f>
        <v>3200.0000476461196</v>
      </c>
      <c r="L8" s="9">
        <v>26341.7</v>
      </c>
      <c r="M8" s="9">
        <v>1580.5</v>
      </c>
      <c r="N8" s="10" t="s">
        <v>10</v>
      </c>
      <c r="O8" s="11">
        <f>L8*$N$10*0.4</f>
        <v>632.2009842023789</v>
      </c>
      <c r="P8" s="11">
        <f>O8+K8+G8</f>
        <v>3970.3471930071737</v>
      </c>
      <c r="Q8" s="9">
        <v>86</v>
      </c>
      <c r="R8" s="11">
        <f>P8+Q8</f>
        <v>4056.3471930071737</v>
      </c>
      <c r="S8" s="11">
        <f>IF(C8&lt;&gt;0,R8/C8,0)</f>
        <v>2.2904275511051235</v>
      </c>
      <c r="T8" s="37">
        <f>IF($S$10&lt;&gt;0,S8/$S$10,0)</f>
        <v>1.159379579553066</v>
      </c>
    </row>
    <row r="9" spans="1:20" ht="11.25">
      <c r="A9" s="6">
        <v>7</v>
      </c>
      <c r="B9" s="7" t="s">
        <v>53</v>
      </c>
      <c r="C9" s="36">
        <v>5649</v>
      </c>
      <c r="D9" s="9">
        <v>271392</v>
      </c>
      <c r="E9" s="9">
        <v>52059</v>
      </c>
      <c r="F9" s="10" t="s">
        <v>10</v>
      </c>
      <c r="G9" s="11">
        <f>D9*$F$10*0.1</f>
        <v>5205.8878293169955</v>
      </c>
      <c r="H9" s="9">
        <v>1203500</v>
      </c>
      <c r="I9" s="9">
        <v>3610.5</v>
      </c>
      <c r="J9" s="10" t="s">
        <v>10</v>
      </c>
      <c r="K9" s="11">
        <f>H9*$J$10</f>
        <v>3610.4999409301004</v>
      </c>
      <c r="L9" s="9">
        <v>28193.3</v>
      </c>
      <c r="M9" s="9">
        <v>1691.6</v>
      </c>
      <c r="N9" s="10" t="s">
        <v>10</v>
      </c>
      <c r="O9" s="11">
        <f>L9*$N$10*0.5</f>
        <v>845.7992464378214</v>
      </c>
      <c r="P9" s="11">
        <f>O9+K9+G9</f>
        <v>9662.187016684918</v>
      </c>
      <c r="Q9" s="9">
        <v>275</v>
      </c>
      <c r="R9" s="11">
        <f>P9+Q9</f>
        <v>9937.187016684918</v>
      </c>
      <c r="S9" s="11">
        <f>IF(C9&lt;&gt;0,R9/C9,0)</f>
        <v>1.7591055083527913</v>
      </c>
      <c r="T9" s="37">
        <f>IF($S$10&lt;&gt;0,S9/$S$10,0)</f>
        <v>0.8904324451037553</v>
      </c>
    </row>
    <row r="10" spans="1:20" ht="12.75">
      <c r="A10" s="12"/>
      <c r="B10" s="13" t="s">
        <v>11</v>
      </c>
      <c r="C10" s="13">
        <f>SUM(C6:C9)</f>
        <v>10840</v>
      </c>
      <c r="D10" s="14">
        <f>SUM(D6:D9)</f>
        <v>365590</v>
      </c>
      <c r="E10" s="14">
        <f>SUM(E6:E9)</f>
        <v>70128.1</v>
      </c>
      <c r="F10" s="13">
        <f>IF(D10&lt;&gt;0,E10/D10,0)</f>
        <v>0.19182171284772562</v>
      </c>
      <c r="G10" s="14">
        <f>SUM(G6:G9)</f>
        <v>5747.964480521898</v>
      </c>
      <c r="H10" s="14">
        <f>SUM(H6:H9)</f>
        <v>4074833.4</v>
      </c>
      <c r="I10" s="14">
        <f>SUM(I6:I9)</f>
        <v>12224.5</v>
      </c>
      <c r="J10" s="13">
        <f>IF(H10&lt;&gt;0,I10/H10,0)</f>
        <v>0.002999999950918239</v>
      </c>
      <c r="K10" s="14">
        <f>SUM(K6:K9)</f>
        <v>12224.5</v>
      </c>
      <c r="L10" s="14">
        <f>SUM(L6:L9)</f>
        <v>114403.3</v>
      </c>
      <c r="M10" s="14">
        <f>SUM(M6:M9)</f>
        <v>6864.200000000001</v>
      </c>
      <c r="N10" s="13">
        <f>IF(L10&lt;&gt;0,M10/L10,0)</f>
        <v>0.060000017482013196</v>
      </c>
      <c r="O10" s="46">
        <f>SUM(O6:O9)</f>
        <v>2914.8398492875644</v>
      </c>
      <c r="P10" s="46">
        <f>O10+K10+G10</f>
        <v>20887.304329809464</v>
      </c>
      <c r="Q10" s="14">
        <f>SUM(Q6:Q9)</f>
        <v>527.8</v>
      </c>
      <c r="R10" s="14">
        <f>Q10+P10</f>
        <v>21415.104329809463</v>
      </c>
      <c r="S10" s="43">
        <f>IF(C10&lt;&gt;0,R10/C10,0)</f>
        <v>1.9755631300562235</v>
      </c>
      <c r="T10" s="14">
        <f>IF($S$10&lt;&gt;0,S10/$S$10,0)</f>
        <v>1</v>
      </c>
    </row>
    <row r="11" ht="11.25">
      <c r="E11" s="45"/>
    </row>
  </sheetData>
  <sheetProtection/>
  <mergeCells count="12">
    <mergeCell ref="Q3:Q4"/>
    <mergeCell ref="R3:R4"/>
    <mergeCell ref="C1:G1"/>
    <mergeCell ref="P3:P4"/>
    <mergeCell ref="C3:C4"/>
    <mergeCell ref="S3:S4"/>
    <mergeCell ref="T3:T4"/>
    <mergeCell ref="A3:A4"/>
    <mergeCell ref="B3:B4"/>
    <mergeCell ref="D3:G3"/>
    <mergeCell ref="H3:K3"/>
    <mergeCell ref="L3:O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8" width="10.875" style="1" customWidth="1"/>
    <col min="9" max="9" width="12.125" style="1" customWidth="1"/>
    <col min="10" max="10" width="10.625" style="1" customWidth="1"/>
    <col min="11" max="11" width="10.125" style="1" customWidth="1"/>
    <col min="12" max="12" width="10.00390625" style="1" customWidth="1"/>
    <col min="13" max="16384" width="8.00390625" style="1" customWidth="1"/>
  </cols>
  <sheetData>
    <row r="1" spans="3:8" ht="27" customHeight="1">
      <c r="C1" s="47" t="s">
        <v>41</v>
      </c>
      <c r="D1" s="47"/>
      <c r="E1" s="47"/>
      <c r="F1" s="47"/>
      <c r="G1" s="47"/>
      <c r="H1" s="47"/>
    </row>
    <row r="2" ht="12"/>
    <row r="3" spans="1:13" ht="30.75" customHeight="1">
      <c r="A3" s="60" t="s">
        <v>1</v>
      </c>
      <c r="B3" s="60" t="s">
        <v>2</v>
      </c>
      <c r="C3" s="59" t="s">
        <v>3</v>
      </c>
      <c r="D3" s="58" t="s">
        <v>49</v>
      </c>
      <c r="E3" s="54" t="s">
        <v>18</v>
      </c>
      <c r="F3" s="54" t="s">
        <v>14</v>
      </c>
      <c r="G3" s="54" t="s">
        <v>15</v>
      </c>
      <c r="H3" s="54" t="s">
        <v>17</v>
      </c>
      <c r="I3" s="48" t="s">
        <v>44</v>
      </c>
      <c r="J3" s="48" t="s">
        <v>42</v>
      </c>
      <c r="K3" s="54" t="s">
        <v>45</v>
      </c>
      <c r="L3" s="48" t="s">
        <v>43</v>
      </c>
      <c r="M3" s="48" t="s">
        <v>54</v>
      </c>
    </row>
    <row r="4" spans="1:13" ht="102.75" customHeight="1">
      <c r="A4" s="60"/>
      <c r="B4" s="60"/>
      <c r="C4" s="59"/>
      <c r="D4" s="58"/>
      <c r="E4" s="55"/>
      <c r="F4" s="55"/>
      <c r="G4" s="55"/>
      <c r="H4" s="55"/>
      <c r="I4" s="48"/>
      <c r="J4" s="48"/>
      <c r="K4" s="55"/>
      <c r="L4" s="48"/>
      <c r="M4" s="48"/>
    </row>
    <row r="5" spans="1:13" s="5" customFormat="1" ht="12">
      <c r="A5" s="4"/>
      <c r="B5" s="4"/>
      <c r="C5" s="4"/>
      <c r="D5" s="4"/>
      <c r="E5" s="4"/>
      <c r="F5" s="4"/>
      <c r="G5" s="16">
        <v>1</v>
      </c>
      <c r="H5" s="16">
        <v>0</v>
      </c>
      <c r="I5" s="4"/>
      <c r="J5" s="4"/>
      <c r="K5" s="4"/>
      <c r="L5" s="4"/>
      <c r="M5" s="4"/>
    </row>
    <row r="6" spans="1:13" ht="12">
      <c r="A6" s="6">
        <v>3</v>
      </c>
      <c r="B6" s="7" t="s">
        <v>50</v>
      </c>
      <c r="C6" s="36">
        <f>ИБР!C6</f>
        <v>667</v>
      </c>
      <c r="D6" s="28">
        <f>ИНП!T6</f>
        <v>1.1195533827864617</v>
      </c>
      <c r="E6" s="28">
        <f>ИБР!Y6</f>
        <v>1.4040084161982156</v>
      </c>
      <c r="F6" s="37">
        <f>IF(E6&lt;&gt;0,D6/E6,0)</f>
        <v>0.7973979143358675</v>
      </c>
      <c r="G6" s="17">
        <v>0</v>
      </c>
      <c r="H6" s="17">
        <v>0</v>
      </c>
      <c r="I6" s="16">
        <v>1750.9</v>
      </c>
      <c r="J6" s="41">
        <f>I6+H6</f>
        <v>1750.9</v>
      </c>
      <c r="K6" s="42">
        <v>1671</v>
      </c>
      <c r="L6" s="41">
        <f>J6-K6</f>
        <v>79.90000000000009</v>
      </c>
      <c r="M6" s="41">
        <v>0</v>
      </c>
    </row>
    <row r="7" spans="1:13" ht="12">
      <c r="A7" s="6">
        <v>4</v>
      </c>
      <c r="B7" s="7" t="s">
        <v>51</v>
      </c>
      <c r="C7" s="36">
        <f>ИБР!C7</f>
        <v>2753</v>
      </c>
      <c r="D7" s="28">
        <f>ИНП!T7</f>
        <v>1.0933322832916226</v>
      </c>
      <c r="E7" s="28">
        <f>ИБР!Y7</f>
        <v>0.9243215994283325</v>
      </c>
      <c r="F7" s="37">
        <f>IF(E7&lt;&gt;0,D7/E7,0)</f>
        <v>1.1828483549100428</v>
      </c>
      <c r="G7" s="17">
        <f>IF(F7&lt;$G$5,($G$5-F7)*E7*$G$12*C7/$C$10,0)</f>
        <v>0</v>
      </c>
      <c r="H7" s="17">
        <f>IF($G$10&lt;&gt;0,ROUND(G7/$G$10*$H$5,1),0)</f>
        <v>0</v>
      </c>
      <c r="I7" s="16">
        <v>6394</v>
      </c>
      <c r="J7" s="41">
        <f>I7+H7</f>
        <v>6394</v>
      </c>
      <c r="K7" s="42">
        <v>5116.6</v>
      </c>
      <c r="L7" s="41">
        <f>J7-K7</f>
        <v>1277.3999999999996</v>
      </c>
      <c r="M7" s="41">
        <v>0</v>
      </c>
    </row>
    <row r="8" spans="1:13" ht="12">
      <c r="A8" s="6">
        <v>5</v>
      </c>
      <c r="B8" s="7" t="s">
        <v>52</v>
      </c>
      <c r="C8" s="36">
        <f>ИБР!C8</f>
        <v>1771</v>
      </c>
      <c r="D8" s="28">
        <f>ИНП!T8</f>
        <v>1.159379579553066</v>
      </c>
      <c r="E8" s="28">
        <f>ИБР!Y8</f>
        <v>1.0469751577871027</v>
      </c>
      <c r="F8" s="37">
        <f>IF(E8&lt;&gt;0,D8/E8,0)</f>
        <v>1.107361116383642</v>
      </c>
      <c r="G8" s="17">
        <f>IF(F8&lt;$G$5,($G$5-F8)*E8*$G$12*C8/$C$10,0)</f>
        <v>0</v>
      </c>
      <c r="H8" s="17">
        <f>IF($G$10&lt;&gt;0,ROUND(G8/$G$10*$H$5,1),0)</f>
        <v>0</v>
      </c>
      <c r="I8" s="16">
        <v>4374.7</v>
      </c>
      <c r="J8" s="41">
        <f>I8+H8</f>
        <v>4374.7</v>
      </c>
      <c r="K8" s="42">
        <v>3889</v>
      </c>
      <c r="L8" s="41">
        <f>J8-K8</f>
        <v>485.6999999999998</v>
      </c>
      <c r="M8" s="41">
        <v>0</v>
      </c>
    </row>
    <row r="9" spans="1:13" ht="12">
      <c r="A9" s="6">
        <v>7</v>
      </c>
      <c r="B9" s="7" t="s">
        <v>53</v>
      </c>
      <c r="C9" s="36">
        <f>ИБР!C9</f>
        <v>5649</v>
      </c>
      <c r="D9" s="28">
        <f>ИНП!T9</f>
        <v>0.8904324451037553</v>
      </c>
      <c r="E9" s="28">
        <f>ИБР!Y9</f>
        <v>0.8748408938980753</v>
      </c>
      <c r="F9" s="37">
        <f>IF(E9&lt;&gt;0,D9/E9,0)</f>
        <v>1.017822156365151</v>
      </c>
      <c r="G9" s="17">
        <f>IF(F9&lt;$G$5,($G$5-F9)*E9*$G$12*C9/$C$10,0)</f>
        <v>0</v>
      </c>
      <c r="H9" s="17">
        <f>IF($G$10&lt;&gt;0,ROUND(G9/$G$10*$H$5,1),0)</f>
        <v>0</v>
      </c>
      <c r="I9" s="16">
        <v>10852.3</v>
      </c>
      <c r="J9" s="41">
        <f>I9+H9</f>
        <v>10852.3</v>
      </c>
      <c r="K9" s="42">
        <v>5860.2</v>
      </c>
      <c r="L9" s="41">
        <f>J9-K9</f>
        <v>4992.099999999999</v>
      </c>
      <c r="M9" s="41">
        <v>0</v>
      </c>
    </row>
    <row r="10" spans="1:13" ht="12.75">
      <c r="A10" s="12"/>
      <c r="B10" s="13" t="s">
        <v>11</v>
      </c>
      <c r="C10" s="44">
        <f>SUM(C6:C9)</f>
        <v>10840</v>
      </c>
      <c r="D10" s="38">
        <f>ИНП!T10</f>
        <v>1</v>
      </c>
      <c r="E10" s="38">
        <f>ИБР!Y10</f>
        <v>1</v>
      </c>
      <c r="F10" s="39">
        <f>IF(E10&lt;&gt;0,D10/E10,0)</f>
        <v>1</v>
      </c>
      <c r="G10" s="40">
        <f>SUM(G6:G9)</f>
        <v>0</v>
      </c>
      <c r="H10" s="40">
        <f>IF($G$10&lt;&gt;0,ROUND(G10/$G$10*$H$5,1),0)</f>
        <v>0</v>
      </c>
      <c r="I10" s="40">
        <f>SUM(I6:I9)</f>
        <v>23371.899999999998</v>
      </c>
      <c r="J10" s="40">
        <f>I10+H10</f>
        <v>23371.899999999998</v>
      </c>
      <c r="K10" s="40">
        <f>SUM(K6:K9)</f>
        <v>16536.8</v>
      </c>
      <c r="L10" s="40">
        <f>J10-K10</f>
        <v>6835.0999999999985</v>
      </c>
      <c r="M10" s="40">
        <f>SUM(M6:M9)</f>
        <v>0</v>
      </c>
    </row>
    <row r="11" ht="12"/>
    <row r="12" spans="6:7" ht="12">
      <c r="F12" s="18" t="s">
        <v>16</v>
      </c>
      <c r="G12" s="9">
        <v>22486.4</v>
      </c>
    </row>
    <row r="13" ht="12"/>
    <row r="14" ht="12"/>
    <row r="15" ht="12"/>
  </sheetData>
  <sheetProtection/>
  <mergeCells count="14">
    <mergeCell ref="M3:M4"/>
    <mergeCell ref="L3:L4"/>
    <mergeCell ref="K3:K4"/>
    <mergeCell ref="C1:H1"/>
    <mergeCell ref="C3:C4"/>
    <mergeCell ref="G3:G4"/>
    <mergeCell ref="H3:H4"/>
    <mergeCell ref="F3:F4"/>
    <mergeCell ref="A3:A4"/>
    <mergeCell ref="B3:B4"/>
    <mergeCell ref="D3:D4"/>
    <mergeCell ref="E3:E4"/>
    <mergeCell ref="I3:I4"/>
    <mergeCell ref="J3:J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1</cp:lastModifiedBy>
  <cp:lastPrinted>2018-11-02T11:58:48Z</cp:lastPrinted>
  <dcterms:created xsi:type="dcterms:W3CDTF">2008-12-18T12:36:24Z</dcterms:created>
  <dcterms:modified xsi:type="dcterms:W3CDTF">2018-11-15T04:13:52Z</dcterms:modified>
  <cp:category/>
  <cp:version/>
  <cp:contentType/>
  <cp:contentStatus/>
</cp:coreProperties>
</file>